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3CCA4FB1-9D85-4438-B793-6B5639FB7622}" xr6:coauthVersionLast="47" xr6:coauthVersionMax="47" xr10:uidLastSave="{00000000-0000-0000-0000-000000000000}"/>
  <bookViews>
    <workbookView xWindow="28680" yWindow="-120" windowWidth="29040" windowHeight="15720" xr2:uid="{F0CA1A0B-1AE1-456D-89B8-15EC4D72A92E}"/>
  </bookViews>
  <sheets>
    <sheet name="Geo Company Specifi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E25" i="1"/>
  <c r="K24" i="1"/>
  <c r="E24" i="1"/>
  <c r="K22" i="1"/>
  <c r="E22" i="1"/>
  <c r="K21" i="1"/>
  <c r="K20" i="1"/>
  <c r="E20" i="1"/>
  <c r="K18" i="1"/>
  <c r="E18" i="1"/>
  <c r="E16" i="1"/>
  <c r="K11" i="1"/>
  <c r="K10" i="1"/>
  <c r="E10" i="1"/>
  <c r="E9" i="1"/>
  <c r="E8" i="1"/>
  <c r="E6" i="1"/>
  <c r="E5" i="1"/>
  <c r="E4" i="1"/>
  <c r="K3" i="1"/>
  <c r="E3" i="1"/>
  <c r="E2" i="1"/>
</calcChain>
</file>

<file path=xl/sharedStrings.xml><?xml version="1.0" encoding="utf-8"?>
<sst xmlns="http://schemas.openxmlformats.org/spreadsheetml/2006/main" count="188" uniqueCount="72">
  <si>
    <t>Subzone</t>
  </si>
  <si>
    <t>Community</t>
  </si>
  <si>
    <t>Company</t>
  </si>
  <si>
    <t>Reported Actual Investment</t>
  </si>
  <si>
    <t xml:space="preserve">Projected Job Creation </t>
  </si>
  <si>
    <t xml:space="preserve">Projected Job Retention </t>
  </si>
  <si>
    <t>% Change in Taxable Value (TV)</t>
  </si>
  <si>
    <t>% Change in SEV</t>
  </si>
  <si>
    <t>First Year Benefits Received</t>
  </si>
  <si>
    <t>Elisha Gray Enterprise Park</t>
  </si>
  <si>
    <t>Benton Charter Township</t>
  </si>
  <si>
    <t>Did Not Report</t>
  </si>
  <si>
    <t>Miller's Pond</t>
  </si>
  <si>
    <t>City of Benton Harbor</t>
  </si>
  <si>
    <t>Edgewater Redevelopment Area</t>
  </si>
  <si>
    <t>City of St. Joseph</t>
  </si>
  <si>
    <t>Central Business District</t>
  </si>
  <si>
    <t>City of Saginaw</t>
  </si>
  <si>
    <t>Hamilton Street Development, LLC (f/k/a SSP &amp; Associates, Inc.)    (Amended)</t>
  </si>
  <si>
    <t>Downtown-Office-Retail</t>
  </si>
  <si>
    <t>City of Flint</t>
  </si>
  <si>
    <t>Historic-Industrial-Housing</t>
  </si>
  <si>
    <t xml:space="preserve">River City Developments, LLC and Rogers Foam Corporation </t>
  </si>
  <si>
    <t>Great Lakes Medical Complex</t>
  </si>
  <si>
    <t xml:space="preserve">Furniture Center </t>
  </si>
  <si>
    <t>City of Grand Rapids</t>
  </si>
  <si>
    <t>Furniture Center</t>
  </si>
  <si>
    <t>Did Not Report - No Reporting Requirements</t>
  </si>
  <si>
    <t>Grandville</t>
  </si>
  <si>
    <t xml:space="preserve">Intrepid Web, LLC </t>
  </si>
  <si>
    <t>Wealthy-Eastern-Franklin</t>
  </si>
  <si>
    <t>Ottawa Station</t>
  </si>
  <si>
    <t>City of Lansing</t>
  </si>
  <si>
    <t>Knapp's Centre</t>
  </si>
  <si>
    <t>Midlink Business Park</t>
  </si>
  <si>
    <t>Township of Comstock</t>
  </si>
  <si>
    <t>BC Tower</t>
  </si>
  <si>
    <t>City of Battle Creek</t>
  </si>
  <si>
    <t xml:space="preserve">The Hinman Company </t>
  </si>
  <si>
    <t>Eastlake/ Filer/Manistee and Eastlake/Filer/ Manistee II</t>
  </si>
  <si>
    <t>City of Manistee</t>
  </si>
  <si>
    <t>Village of Edmore</t>
  </si>
  <si>
    <t>Former Muskegon Mall</t>
  </si>
  <si>
    <t>City of Muskegon</t>
  </si>
  <si>
    <t>Midtown Hospital Campus</t>
  </si>
  <si>
    <t>Wayne County</t>
  </si>
  <si>
    <t xml:space="preserve">VHS of Michigan, Inc. (Vanguard/DMC) </t>
  </si>
  <si>
    <t>Woodward Avenue (Old Hudson's Bldg.)</t>
  </si>
  <si>
    <t xml:space="preserve">1208 Woodward, LLC </t>
  </si>
  <si>
    <t>Whirlpool Corp.</t>
  </si>
  <si>
    <t>500 Block, LLC</t>
  </si>
  <si>
    <t>Baker Uptown, LLC</t>
  </si>
  <si>
    <t>Community First, LLC</t>
  </si>
  <si>
    <t>General Motors</t>
  </si>
  <si>
    <t>IINN, Inc.</t>
  </si>
  <si>
    <t>607 Dewey, LLC (True North)</t>
  </si>
  <si>
    <t>American Seating</t>
  </si>
  <si>
    <t>Hotel Holdings Monroe</t>
  </si>
  <si>
    <t xml:space="preserve">Seventh Street Properties, LLC </t>
  </si>
  <si>
    <t>Wealthy Street Historic Development, LLC</t>
  </si>
  <si>
    <t>Phoenix Development Partners, LLC &amp; Accident Fund</t>
  </si>
  <si>
    <t>Eyde Knapp Development, LLC</t>
  </si>
  <si>
    <t>Kaiser Aluminum Fabricated Products, LLC</t>
  </si>
  <si>
    <t>American Materials (Reith 
Riley)</t>
  </si>
  <si>
    <t>Specialty Lifting Equipment, Inc.</t>
  </si>
  <si>
    <t>Heritage Square Development, LLC</t>
  </si>
  <si>
    <t>Required Investment</t>
  </si>
  <si>
    <t>Reported Current Jobs</t>
  </si>
  <si>
    <t>Reported Jobs Transferred
to Zone</t>
  </si>
  <si>
    <t>Reported Baseline Jobs at Designation</t>
  </si>
  <si>
    <t>Reported Actual Job Creation</t>
  </si>
  <si>
    <t>Reported Avg Weekly Wage of Jobs Created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</si>
</sst>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  <numFmt numFmtId="166" formatCode="#,##0.0"/>
    <numFmt numFmtId="167" formatCode="#,##0.0_);\(#,##0.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5" fillId="0" borderId="0" xfId="0" applyFont="1"/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/>
    </xf>
    <xf numFmtId="164" fontId="2" fillId="2" borderId="1" xfId="1" applyNumberFormat="1" applyFont="1" applyFill="1" applyBorder="1" applyAlignment="1">
      <alignment horizontal="right" vertical="center"/>
    </xf>
    <xf numFmtId="164" fontId="2" fillId="2" borderId="1" xfId="2" applyNumberFormat="1" applyFon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center" vertical="center"/>
    </xf>
    <xf numFmtId="164" fontId="2" fillId="2" borderId="1" xfId="2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/>
    <xf numFmtId="164" fontId="0" fillId="2" borderId="1" xfId="0" applyNumberForma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/>
    </xf>
    <xf numFmtId="164" fontId="2" fillId="2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63C78-C7C7-4E1F-93D7-C7A8963DF255}">
  <sheetPr>
    <tabColor rgb="FF00B050"/>
    <pageSetUpPr fitToPage="1"/>
  </sheetPr>
  <dimension ref="A1:P26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31.42578125" style="1" bestFit="1" customWidth="1"/>
    <col min="2" max="2" width="23.85546875" style="1" bestFit="1" customWidth="1"/>
    <col min="3" max="3" width="28.85546875" style="1" bestFit="1" customWidth="1"/>
    <col min="4" max="5" width="15.42578125" style="1" bestFit="1" customWidth="1"/>
    <col min="6" max="7" width="15.42578125" style="39" bestFit="1" customWidth="1"/>
    <col min="8" max="9" width="14.28515625" style="39" bestFit="1" customWidth="1"/>
    <col min="10" max="10" width="15.42578125" style="39" bestFit="1" customWidth="1"/>
    <col min="11" max="11" width="14.7109375" style="39" bestFit="1" customWidth="1"/>
    <col min="12" max="12" width="15.85546875" style="39" bestFit="1" customWidth="1"/>
    <col min="13" max="13" width="15.42578125" style="39" bestFit="1" customWidth="1"/>
    <col min="14" max="14" width="15.5703125" style="39" bestFit="1" customWidth="1"/>
    <col min="15" max="16384" width="9.140625" style="1"/>
  </cols>
  <sheetData>
    <row r="1" spans="1:16" ht="60" x14ac:dyDescent="0.25">
      <c r="A1" s="3" t="s">
        <v>0</v>
      </c>
      <c r="B1" s="2" t="s">
        <v>1</v>
      </c>
      <c r="C1" s="3" t="s">
        <v>2</v>
      </c>
      <c r="D1" s="3" t="s">
        <v>66</v>
      </c>
      <c r="E1" s="3" t="s">
        <v>3</v>
      </c>
      <c r="F1" s="3" t="s">
        <v>4</v>
      </c>
      <c r="G1" s="3" t="s">
        <v>5</v>
      </c>
      <c r="H1" s="3" t="s">
        <v>67</v>
      </c>
      <c r="I1" s="3" t="s">
        <v>68</v>
      </c>
      <c r="J1" s="3" t="s">
        <v>69</v>
      </c>
      <c r="K1" s="3" t="s">
        <v>70</v>
      </c>
      <c r="L1" s="12" t="s">
        <v>71</v>
      </c>
      <c r="M1" s="3" t="s">
        <v>6</v>
      </c>
      <c r="N1" s="3" t="s">
        <v>7</v>
      </c>
      <c r="O1" s="3" t="s">
        <v>8</v>
      </c>
    </row>
    <row r="2" spans="1:16" x14ac:dyDescent="0.25">
      <c r="A2" s="13" t="s">
        <v>9</v>
      </c>
      <c r="B2" s="4" t="s">
        <v>10</v>
      </c>
      <c r="C2" s="6" t="s">
        <v>49</v>
      </c>
      <c r="D2" s="14">
        <v>21538996</v>
      </c>
      <c r="E2" s="15">
        <f>SUM(32685729+842014+306112+1589335+77355+733663+523554+651862+806487+964564)</f>
        <v>39180675</v>
      </c>
      <c r="F2" s="7" t="s">
        <v>11</v>
      </c>
      <c r="G2" s="7" t="s">
        <v>11</v>
      </c>
      <c r="H2" s="7" t="s">
        <v>11</v>
      </c>
      <c r="I2" s="7" t="s">
        <v>11</v>
      </c>
      <c r="J2" s="7" t="s">
        <v>11</v>
      </c>
      <c r="K2" s="7" t="s">
        <v>11</v>
      </c>
      <c r="L2" s="7" t="s">
        <v>11</v>
      </c>
      <c r="M2" s="17" t="s">
        <v>11</v>
      </c>
      <c r="N2" s="17" t="s">
        <v>11</v>
      </c>
      <c r="O2" s="16">
        <v>40544</v>
      </c>
      <c r="P2" s="5"/>
    </row>
    <row r="3" spans="1:16" x14ac:dyDescent="0.25">
      <c r="A3" s="13" t="s">
        <v>12</v>
      </c>
      <c r="B3" s="6" t="s">
        <v>13</v>
      </c>
      <c r="C3" s="6" t="s">
        <v>49</v>
      </c>
      <c r="D3" s="14">
        <v>65325843</v>
      </c>
      <c r="E3" s="15">
        <f>SUM(91596394+39231+2554543)</f>
        <v>94190168</v>
      </c>
      <c r="F3" s="7">
        <v>0</v>
      </c>
      <c r="G3" s="7">
        <v>0</v>
      </c>
      <c r="H3" s="7">
        <v>493</v>
      </c>
      <c r="I3" s="7">
        <v>209</v>
      </c>
      <c r="J3" s="7">
        <v>0</v>
      </c>
      <c r="K3" s="7">
        <f>H3-I3</f>
        <v>284</v>
      </c>
      <c r="L3" s="17">
        <v>1493</v>
      </c>
      <c r="M3" s="18">
        <v>393.61</v>
      </c>
      <c r="N3" s="7">
        <v>382.22</v>
      </c>
      <c r="O3" s="16">
        <v>40544</v>
      </c>
    </row>
    <row r="4" spans="1:16" x14ac:dyDescent="0.25">
      <c r="A4" s="19" t="s">
        <v>14</v>
      </c>
      <c r="B4" s="6" t="s">
        <v>15</v>
      </c>
      <c r="C4" s="6" t="s">
        <v>49</v>
      </c>
      <c r="D4" s="14">
        <v>175000</v>
      </c>
      <c r="E4" s="15">
        <f>SUM(83184441+720690+2265477+4137437+741707+452335+561171+153297+96512+736171)</f>
        <v>93049238</v>
      </c>
      <c r="F4" s="7" t="s">
        <v>11</v>
      </c>
      <c r="G4" s="7" t="s">
        <v>11</v>
      </c>
      <c r="H4" s="7" t="s">
        <v>11</v>
      </c>
      <c r="I4" s="7" t="s">
        <v>11</v>
      </c>
      <c r="J4" s="7" t="s">
        <v>11</v>
      </c>
      <c r="K4" s="7" t="s">
        <v>11</v>
      </c>
      <c r="L4" s="7" t="s">
        <v>11</v>
      </c>
      <c r="M4" s="17" t="s">
        <v>11</v>
      </c>
      <c r="N4" s="17" t="s">
        <v>11</v>
      </c>
      <c r="O4" s="16">
        <v>40544</v>
      </c>
    </row>
    <row r="5" spans="1:16" ht="45" x14ac:dyDescent="0.25">
      <c r="A5" s="20" t="s">
        <v>16</v>
      </c>
      <c r="B5" s="20" t="s">
        <v>17</v>
      </c>
      <c r="C5" s="20" t="s">
        <v>18</v>
      </c>
      <c r="D5" s="21">
        <v>6148000</v>
      </c>
      <c r="E5" s="21">
        <f>SUM(5824669+2338479+415185.36+476654.15+146)</f>
        <v>9055133.5099999998</v>
      </c>
      <c r="F5" s="7">
        <v>12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22">
        <v>0</v>
      </c>
      <c r="M5" s="23" t="s">
        <v>11</v>
      </c>
      <c r="N5" s="23" t="s">
        <v>11</v>
      </c>
      <c r="O5" s="24">
        <v>40909</v>
      </c>
    </row>
    <row r="6" spans="1:16" x14ac:dyDescent="0.25">
      <c r="A6" s="20" t="s">
        <v>19</v>
      </c>
      <c r="B6" s="20" t="s">
        <v>20</v>
      </c>
      <c r="C6" s="20" t="s">
        <v>50</v>
      </c>
      <c r="D6" s="15">
        <v>20000000</v>
      </c>
      <c r="E6" s="21">
        <f>SUM(21295988+16230+47778)</f>
        <v>21359996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22">
        <v>0</v>
      </c>
      <c r="M6" s="25">
        <v>459</v>
      </c>
      <c r="N6" s="25">
        <v>459</v>
      </c>
      <c r="O6" s="26">
        <v>39814</v>
      </c>
    </row>
    <row r="7" spans="1:16" x14ac:dyDescent="0.25">
      <c r="A7" s="20" t="s">
        <v>19</v>
      </c>
      <c r="B7" s="20" t="s">
        <v>20</v>
      </c>
      <c r="C7" s="20" t="s">
        <v>51</v>
      </c>
      <c r="D7" s="15">
        <v>5200000</v>
      </c>
      <c r="E7" s="21">
        <v>5373854</v>
      </c>
      <c r="F7" s="8">
        <v>42</v>
      </c>
      <c r="G7" s="8">
        <v>35</v>
      </c>
      <c r="H7" s="8">
        <v>0</v>
      </c>
      <c r="I7" s="8">
        <v>0</v>
      </c>
      <c r="J7" s="8">
        <v>0</v>
      </c>
      <c r="K7" s="8">
        <v>0</v>
      </c>
      <c r="L7" s="22">
        <v>0</v>
      </c>
      <c r="M7" s="25">
        <v>86.68</v>
      </c>
      <c r="N7" s="25">
        <v>419.73</v>
      </c>
      <c r="O7" s="26">
        <v>39814</v>
      </c>
    </row>
    <row r="8" spans="1:16" x14ac:dyDescent="0.25">
      <c r="A8" s="20" t="s">
        <v>19</v>
      </c>
      <c r="B8" s="20" t="s">
        <v>20</v>
      </c>
      <c r="C8" s="20" t="s">
        <v>52</v>
      </c>
      <c r="D8" s="15">
        <v>3000000</v>
      </c>
      <c r="E8" s="21">
        <f>3352000+5460</f>
        <v>3357460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22">
        <v>0</v>
      </c>
      <c r="M8" s="25">
        <v>140.44999999999999</v>
      </c>
      <c r="N8" s="25">
        <v>734.3</v>
      </c>
      <c r="O8" s="26">
        <v>39814</v>
      </c>
    </row>
    <row r="9" spans="1:16" ht="30" x14ac:dyDescent="0.25">
      <c r="A9" s="20" t="s">
        <v>21</v>
      </c>
      <c r="B9" s="20" t="s">
        <v>20</v>
      </c>
      <c r="C9" s="20" t="s">
        <v>22</v>
      </c>
      <c r="D9" s="15">
        <v>100000</v>
      </c>
      <c r="E9" s="21">
        <f>SUM(2398047+10000+154000+175000+50000+8000)</f>
        <v>2795047</v>
      </c>
      <c r="F9" s="8">
        <v>15</v>
      </c>
      <c r="G9" s="8">
        <v>0</v>
      </c>
      <c r="H9" s="8" t="s">
        <v>11</v>
      </c>
      <c r="I9" s="8" t="s">
        <v>11</v>
      </c>
      <c r="J9" s="8" t="s">
        <v>11</v>
      </c>
      <c r="K9" s="8" t="s">
        <v>11</v>
      </c>
      <c r="L9" s="8" t="s">
        <v>11</v>
      </c>
      <c r="M9" s="8" t="s">
        <v>11</v>
      </c>
      <c r="N9" s="8" t="s">
        <v>11</v>
      </c>
      <c r="O9" s="26">
        <v>39814</v>
      </c>
    </row>
    <row r="10" spans="1:16" x14ac:dyDescent="0.25">
      <c r="A10" s="20" t="s">
        <v>21</v>
      </c>
      <c r="B10" s="20" t="s">
        <v>20</v>
      </c>
      <c r="C10" s="20" t="s">
        <v>53</v>
      </c>
      <c r="D10" s="15">
        <v>5000000</v>
      </c>
      <c r="E10" s="21">
        <f>SUM(35412650+1362267+1049451.96+2563909.06+6889880.95+15158182)</f>
        <v>62436340.970000006</v>
      </c>
      <c r="F10" s="8">
        <v>0</v>
      </c>
      <c r="G10" s="8">
        <v>267</v>
      </c>
      <c r="H10" s="8">
        <v>274</v>
      </c>
      <c r="I10" s="8">
        <v>69</v>
      </c>
      <c r="J10" s="9">
        <v>267</v>
      </c>
      <c r="K10" s="8">
        <f>H10-I10-J10</f>
        <v>-62</v>
      </c>
      <c r="L10" s="22">
        <v>1813</v>
      </c>
      <c r="M10" s="25">
        <v>-88.48</v>
      </c>
      <c r="N10" s="25">
        <v>-87.8</v>
      </c>
      <c r="O10" s="26">
        <v>39814</v>
      </c>
    </row>
    <row r="11" spans="1:16" x14ac:dyDescent="0.25">
      <c r="A11" s="20" t="s">
        <v>23</v>
      </c>
      <c r="B11" s="20" t="s">
        <v>20</v>
      </c>
      <c r="C11" s="20" t="s">
        <v>54</v>
      </c>
      <c r="D11" s="15">
        <v>18000000</v>
      </c>
      <c r="E11" s="27">
        <v>13081069</v>
      </c>
      <c r="F11" s="8">
        <v>100</v>
      </c>
      <c r="G11" s="8">
        <v>20</v>
      </c>
      <c r="H11" s="8">
        <v>368</v>
      </c>
      <c r="I11" s="8">
        <v>0</v>
      </c>
      <c r="J11" s="8">
        <v>20</v>
      </c>
      <c r="K11" s="8">
        <f>H11-I11-J11</f>
        <v>348</v>
      </c>
      <c r="L11" s="22">
        <v>962</v>
      </c>
      <c r="M11" s="25" t="s">
        <v>11</v>
      </c>
      <c r="N11" s="25" t="s">
        <v>11</v>
      </c>
      <c r="O11" s="26">
        <v>40544</v>
      </c>
    </row>
    <row r="12" spans="1:16" x14ac:dyDescent="0.25">
      <c r="A12" s="20" t="s">
        <v>24</v>
      </c>
      <c r="B12" s="20" t="s">
        <v>25</v>
      </c>
      <c r="C12" s="20" t="s">
        <v>55</v>
      </c>
      <c r="D12" s="21">
        <v>1900000</v>
      </c>
      <c r="E12" s="21">
        <v>1987898.23</v>
      </c>
      <c r="F12" s="7" t="s">
        <v>11</v>
      </c>
      <c r="G12" s="7" t="s">
        <v>11</v>
      </c>
      <c r="H12" s="7" t="s">
        <v>11</v>
      </c>
      <c r="I12" s="7" t="s">
        <v>11</v>
      </c>
      <c r="J12" s="7" t="s">
        <v>11</v>
      </c>
      <c r="K12" s="7" t="s">
        <v>11</v>
      </c>
      <c r="L12" s="7" t="s">
        <v>11</v>
      </c>
      <c r="M12" s="7" t="s">
        <v>11</v>
      </c>
      <c r="N12" s="7" t="s">
        <v>11</v>
      </c>
      <c r="O12" s="16">
        <v>40179</v>
      </c>
    </row>
    <row r="13" spans="1:16" ht="45" x14ac:dyDescent="0.25">
      <c r="A13" s="20" t="s">
        <v>26</v>
      </c>
      <c r="B13" s="20" t="s">
        <v>25</v>
      </c>
      <c r="C13" s="20" t="s">
        <v>56</v>
      </c>
      <c r="D13" s="38" t="s">
        <v>27</v>
      </c>
      <c r="E13" s="38" t="s">
        <v>27</v>
      </c>
      <c r="F13" s="31" t="s">
        <v>27</v>
      </c>
      <c r="G13" s="31" t="s">
        <v>27</v>
      </c>
      <c r="H13" s="31" t="s">
        <v>27</v>
      </c>
      <c r="I13" s="31" t="s">
        <v>27</v>
      </c>
      <c r="J13" s="31" t="s">
        <v>27</v>
      </c>
      <c r="K13" s="31" t="s">
        <v>27</v>
      </c>
      <c r="L13" s="31" t="s">
        <v>27</v>
      </c>
      <c r="M13" s="31" t="s">
        <v>27</v>
      </c>
      <c r="N13" s="31" t="s">
        <v>27</v>
      </c>
      <c r="O13" s="16">
        <v>39814</v>
      </c>
    </row>
    <row r="14" spans="1:16" ht="45" x14ac:dyDescent="0.25">
      <c r="A14" s="20" t="s">
        <v>26</v>
      </c>
      <c r="B14" s="20" t="s">
        <v>25</v>
      </c>
      <c r="C14" s="20" t="s">
        <v>57</v>
      </c>
      <c r="D14" s="38" t="s">
        <v>27</v>
      </c>
      <c r="E14" s="38" t="s">
        <v>27</v>
      </c>
      <c r="F14" s="31" t="s">
        <v>27</v>
      </c>
      <c r="G14" s="31" t="s">
        <v>27</v>
      </c>
      <c r="H14" s="31" t="s">
        <v>27</v>
      </c>
      <c r="I14" s="31" t="s">
        <v>27</v>
      </c>
      <c r="J14" s="31" t="s">
        <v>27</v>
      </c>
      <c r="K14" s="31" t="s">
        <v>27</v>
      </c>
      <c r="L14" s="31" t="s">
        <v>27</v>
      </c>
      <c r="M14" s="31" t="s">
        <v>27</v>
      </c>
      <c r="N14" s="31" t="s">
        <v>27</v>
      </c>
      <c r="O14" s="16">
        <v>39814</v>
      </c>
    </row>
    <row r="15" spans="1:16" ht="45" x14ac:dyDescent="0.25">
      <c r="A15" s="20" t="s">
        <v>26</v>
      </c>
      <c r="B15" s="20" t="s">
        <v>25</v>
      </c>
      <c r="C15" s="20" t="s">
        <v>58</v>
      </c>
      <c r="D15" s="38" t="s">
        <v>27</v>
      </c>
      <c r="E15" s="38" t="s">
        <v>27</v>
      </c>
      <c r="F15" s="31" t="s">
        <v>27</v>
      </c>
      <c r="G15" s="31" t="s">
        <v>27</v>
      </c>
      <c r="H15" s="31" t="s">
        <v>27</v>
      </c>
      <c r="I15" s="31" t="s">
        <v>27</v>
      </c>
      <c r="J15" s="31" t="s">
        <v>27</v>
      </c>
      <c r="K15" s="31" t="s">
        <v>27</v>
      </c>
      <c r="L15" s="31" t="s">
        <v>27</v>
      </c>
      <c r="M15" s="31" t="s">
        <v>27</v>
      </c>
      <c r="N15" s="31" t="s">
        <v>27</v>
      </c>
      <c r="O15" s="16">
        <v>39814</v>
      </c>
    </row>
    <row r="16" spans="1:16" x14ac:dyDescent="0.25">
      <c r="A16" s="20" t="s">
        <v>28</v>
      </c>
      <c r="B16" s="20" t="s">
        <v>25</v>
      </c>
      <c r="C16" s="20" t="s">
        <v>29</v>
      </c>
      <c r="D16" s="21">
        <v>272000</v>
      </c>
      <c r="E16" s="27">
        <f>SUM(283647+4162+6000)</f>
        <v>293809</v>
      </c>
      <c r="F16" s="7">
        <v>1</v>
      </c>
      <c r="G16" s="7">
        <v>0</v>
      </c>
      <c r="H16" s="7">
        <v>5</v>
      </c>
      <c r="I16" s="10">
        <v>5</v>
      </c>
      <c r="J16" s="11">
        <v>0</v>
      </c>
      <c r="K16" s="11">
        <v>0</v>
      </c>
      <c r="L16" s="22">
        <v>3130</v>
      </c>
      <c r="M16" s="25">
        <v>53.1</v>
      </c>
      <c r="N16" s="25">
        <v>59.8</v>
      </c>
      <c r="O16" s="16">
        <v>40179</v>
      </c>
    </row>
    <row r="17" spans="1:15" ht="30" x14ac:dyDescent="0.25">
      <c r="A17" s="20" t="s">
        <v>30</v>
      </c>
      <c r="B17" s="20" t="s">
        <v>25</v>
      </c>
      <c r="C17" s="20" t="s">
        <v>59</v>
      </c>
      <c r="D17" s="21">
        <v>650000</v>
      </c>
      <c r="E17" s="21">
        <v>842500</v>
      </c>
      <c r="F17" s="7">
        <v>0</v>
      </c>
      <c r="G17" s="7">
        <v>0</v>
      </c>
      <c r="H17" s="7">
        <v>0</v>
      </c>
      <c r="I17" s="7">
        <v>0</v>
      </c>
      <c r="J17" s="11">
        <v>0</v>
      </c>
      <c r="K17" s="11">
        <v>0</v>
      </c>
      <c r="L17" s="28">
        <v>0</v>
      </c>
      <c r="M17" s="28">
        <v>589.67999999999995</v>
      </c>
      <c r="N17" s="28">
        <v>1844.61</v>
      </c>
      <c r="O17" s="16">
        <v>40179</v>
      </c>
    </row>
    <row r="18" spans="1:15" ht="30" x14ac:dyDescent="0.25">
      <c r="A18" s="29" t="s">
        <v>31</v>
      </c>
      <c r="B18" s="4" t="s">
        <v>32</v>
      </c>
      <c r="C18" s="20" t="s">
        <v>60</v>
      </c>
      <c r="D18" s="30">
        <v>94000000</v>
      </c>
      <c r="E18" s="30">
        <f>SUM(191005110+19281211+12224354+9337509+889284+346543)</f>
        <v>233084011</v>
      </c>
      <c r="F18" s="9">
        <v>0</v>
      </c>
      <c r="G18" s="9">
        <v>0</v>
      </c>
      <c r="H18" s="9">
        <v>807</v>
      </c>
      <c r="I18" s="9">
        <v>11</v>
      </c>
      <c r="J18" s="9">
        <v>490</v>
      </c>
      <c r="K18" s="9">
        <f>H18-I18-J18</f>
        <v>306</v>
      </c>
      <c r="L18" s="31">
        <v>1653</v>
      </c>
      <c r="M18" s="32">
        <v>1879.85</v>
      </c>
      <c r="N18" s="32">
        <v>1881.21</v>
      </c>
      <c r="O18" s="33">
        <v>40179</v>
      </c>
    </row>
    <row r="19" spans="1:15" x14ac:dyDescent="0.25">
      <c r="A19" s="29" t="s">
        <v>33</v>
      </c>
      <c r="B19" s="4" t="s">
        <v>32</v>
      </c>
      <c r="C19" s="20" t="s">
        <v>61</v>
      </c>
      <c r="D19" s="30">
        <v>22000000</v>
      </c>
      <c r="E19" s="30">
        <v>29459544.100000001</v>
      </c>
      <c r="F19" s="9">
        <v>0</v>
      </c>
      <c r="G19" s="9">
        <v>0</v>
      </c>
      <c r="H19" s="9" t="s">
        <v>11</v>
      </c>
      <c r="I19" s="9" t="s">
        <v>11</v>
      </c>
      <c r="J19" s="9">
        <v>0</v>
      </c>
      <c r="K19" s="9" t="s">
        <v>11</v>
      </c>
      <c r="L19" s="9" t="s">
        <v>11</v>
      </c>
      <c r="M19" s="9" t="s">
        <v>11</v>
      </c>
      <c r="N19" s="9" t="s">
        <v>11</v>
      </c>
      <c r="O19" s="33">
        <v>40909</v>
      </c>
    </row>
    <row r="20" spans="1:15" ht="30" x14ac:dyDescent="0.25">
      <c r="A20" s="29" t="s">
        <v>34</v>
      </c>
      <c r="B20" s="29" t="s">
        <v>35</v>
      </c>
      <c r="C20" s="20" t="s">
        <v>62</v>
      </c>
      <c r="D20" s="21">
        <v>50000000</v>
      </c>
      <c r="E20" s="27">
        <f>SUM(188126850+380870+1129831+652059+5066340+502075+2698549+260995+831801+23666+1555763+1289049+24193)</f>
        <v>202542041</v>
      </c>
      <c r="F20" s="7">
        <v>150</v>
      </c>
      <c r="G20" s="7">
        <v>0</v>
      </c>
      <c r="H20" s="7">
        <v>171</v>
      </c>
      <c r="I20" s="7">
        <v>15</v>
      </c>
      <c r="J20" s="7">
        <v>14</v>
      </c>
      <c r="K20" s="11">
        <f>H20-I20-J20</f>
        <v>142</v>
      </c>
      <c r="L20" s="22">
        <v>1237</v>
      </c>
      <c r="M20" s="34">
        <v>121.94</v>
      </c>
      <c r="N20" s="34">
        <v>218.72</v>
      </c>
      <c r="O20" s="16">
        <v>40179</v>
      </c>
    </row>
    <row r="21" spans="1:15" x14ac:dyDescent="0.25">
      <c r="A21" s="29" t="s">
        <v>36</v>
      </c>
      <c r="B21" s="29" t="s">
        <v>37</v>
      </c>
      <c r="C21" s="20" t="s">
        <v>38</v>
      </c>
      <c r="D21" s="21">
        <v>1050000</v>
      </c>
      <c r="E21" s="21">
        <v>2258217</v>
      </c>
      <c r="F21" s="7">
        <v>0</v>
      </c>
      <c r="G21" s="7">
        <v>0</v>
      </c>
      <c r="H21" s="7">
        <v>0</v>
      </c>
      <c r="I21" s="7">
        <v>0</v>
      </c>
      <c r="J21" s="7">
        <v>305</v>
      </c>
      <c r="K21" s="11">
        <f>H21-I21-J21</f>
        <v>-305</v>
      </c>
      <c r="L21" s="11">
        <v>0</v>
      </c>
      <c r="M21" s="25">
        <v>30.09</v>
      </c>
      <c r="N21" s="25">
        <v>69.63</v>
      </c>
      <c r="O21" s="16">
        <v>40179</v>
      </c>
    </row>
    <row r="22" spans="1:15" ht="30" x14ac:dyDescent="0.25">
      <c r="A22" s="35" t="s">
        <v>39</v>
      </c>
      <c r="B22" s="29" t="s">
        <v>40</v>
      </c>
      <c r="C22" s="20" t="s">
        <v>63</v>
      </c>
      <c r="D22" s="21">
        <v>0</v>
      </c>
      <c r="E22" s="30">
        <f>11862086+519549+11672.39</f>
        <v>12393307.390000001</v>
      </c>
      <c r="F22" s="36">
        <v>0</v>
      </c>
      <c r="G22" s="7">
        <v>0</v>
      </c>
      <c r="H22" s="7">
        <v>13</v>
      </c>
      <c r="I22" s="7">
        <v>4</v>
      </c>
      <c r="J22" s="36">
        <v>8</v>
      </c>
      <c r="K22" s="9">
        <f>H22-I22-J22</f>
        <v>1</v>
      </c>
      <c r="L22" s="31">
        <v>1000</v>
      </c>
      <c r="M22" s="36">
        <v>1063.75</v>
      </c>
      <c r="N22" s="7">
        <v>925.68</v>
      </c>
      <c r="O22" s="16">
        <v>39814</v>
      </c>
    </row>
    <row r="23" spans="1:15" ht="45" x14ac:dyDescent="0.25">
      <c r="A23" s="20" t="s">
        <v>41</v>
      </c>
      <c r="B23" s="29" t="s">
        <v>41</v>
      </c>
      <c r="C23" s="20" t="s">
        <v>64</v>
      </c>
      <c r="D23" s="21">
        <v>302000</v>
      </c>
      <c r="E23" s="37">
        <v>723915</v>
      </c>
      <c r="F23" s="36" t="s">
        <v>27</v>
      </c>
      <c r="G23" s="36" t="s">
        <v>27</v>
      </c>
      <c r="H23" s="36" t="s">
        <v>27</v>
      </c>
      <c r="I23" s="36" t="s">
        <v>27</v>
      </c>
      <c r="J23" s="36" t="s">
        <v>27</v>
      </c>
      <c r="K23" s="36" t="s">
        <v>27</v>
      </c>
      <c r="L23" s="36" t="s">
        <v>27</v>
      </c>
      <c r="M23" s="36" t="s">
        <v>27</v>
      </c>
      <c r="N23" s="36" t="s">
        <v>27</v>
      </c>
      <c r="O23" s="16">
        <v>39814</v>
      </c>
    </row>
    <row r="24" spans="1:15" ht="30" x14ac:dyDescent="0.25">
      <c r="A24" s="20" t="s">
        <v>42</v>
      </c>
      <c r="B24" s="29" t="s">
        <v>43</v>
      </c>
      <c r="C24" s="20" t="s">
        <v>65</v>
      </c>
      <c r="D24" s="21">
        <v>0</v>
      </c>
      <c r="E24" s="21">
        <f>SUM(5119952+2007142+85000+1013620+45000+45000+18567+256590+1000+261850+1000)</f>
        <v>8854721</v>
      </c>
      <c r="F24" s="7">
        <v>0</v>
      </c>
      <c r="G24" s="7">
        <v>0</v>
      </c>
      <c r="H24" s="7">
        <v>13</v>
      </c>
      <c r="I24" s="7">
        <v>0</v>
      </c>
      <c r="J24" s="7">
        <v>0</v>
      </c>
      <c r="K24" s="11">
        <f>H24-I24</f>
        <v>13</v>
      </c>
      <c r="L24" s="22">
        <v>0</v>
      </c>
      <c r="M24" s="23">
        <v>2319.06</v>
      </c>
      <c r="N24" s="23">
        <v>3595.06</v>
      </c>
      <c r="O24" s="16">
        <v>39814</v>
      </c>
    </row>
    <row r="25" spans="1:15" ht="30" x14ac:dyDescent="0.25">
      <c r="A25" s="6" t="s">
        <v>44</v>
      </c>
      <c r="B25" s="4" t="s">
        <v>45</v>
      </c>
      <c r="C25" s="6" t="s">
        <v>46</v>
      </c>
      <c r="D25" s="21">
        <v>400000000</v>
      </c>
      <c r="E25" s="30">
        <f>467650317+4857157+86874+1366877+14079234+3732046-131875</f>
        <v>491640630</v>
      </c>
      <c r="F25" s="7">
        <v>0</v>
      </c>
      <c r="G25" s="10">
        <v>12000</v>
      </c>
      <c r="H25" s="10" t="s">
        <v>11</v>
      </c>
      <c r="I25" s="10" t="s">
        <v>11</v>
      </c>
      <c r="J25" s="7">
        <v>6758</v>
      </c>
      <c r="K25" s="10" t="s">
        <v>11</v>
      </c>
      <c r="L25" s="10" t="s">
        <v>11</v>
      </c>
      <c r="M25" s="25" t="s">
        <v>11</v>
      </c>
      <c r="N25" s="25" t="s">
        <v>11</v>
      </c>
      <c r="O25" s="16">
        <v>40544</v>
      </c>
    </row>
    <row r="26" spans="1:15" ht="30" x14ac:dyDescent="0.25">
      <c r="A26" s="19" t="s">
        <v>47</v>
      </c>
      <c r="B26" s="4" t="s">
        <v>45</v>
      </c>
      <c r="C26" s="6" t="s">
        <v>48</v>
      </c>
      <c r="D26" s="21">
        <v>75000000</v>
      </c>
      <c r="E26" s="21">
        <f>SUM(30021452.15+34820464+45952708+90686570+177197285+262224650+167056)</f>
        <v>641070185.14999998</v>
      </c>
      <c r="F26" s="7">
        <v>0</v>
      </c>
      <c r="G26" s="7">
        <v>0</v>
      </c>
      <c r="H26" s="10" t="s">
        <v>11</v>
      </c>
      <c r="I26" s="10" t="s">
        <v>11</v>
      </c>
      <c r="J26" s="7">
        <v>0</v>
      </c>
      <c r="K26" s="10" t="s">
        <v>11</v>
      </c>
      <c r="L26" s="10" t="s">
        <v>11</v>
      </c>
      <c r="M26" s="25" t="s">
        <v>11</v>
      </c>
      <c r="N26" s="25" t="s">
        <v>11</v>
      </c>
      <c r="O26" s="16">
        <v>40909</v>
      </c>
    </row>
  </sheetData>
  <printOptions horizontalCentered="1"/>
  <pageMargins left="0.25" right="0.25" top="0.75" bottom="0.75" header="0.3" footer="0.3"/>
  <pageSetup paperSize="5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Geo Company Specific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2025-10-21T17:49:33Z</dcterms:created>
  <dcterms:modified xsi:type="dcterms:W3CDTF">2025-10-30T13:12:55Z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2025-10-30T13:12:37Z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6f04c561-f34b-4f40-a594-79432abea40a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